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4CC30517-EEFE-40B1-A96E-8CBDD321DEDC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<sst xmlns="http://schemas.openxmlformats.org/spreadsheetml/2006/main" count="290" uniqueCount="205">
  <si>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</si>
  <si>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</si>
  <si>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</si>
  <si>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</si>
  <si>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</si>
  <si>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</si>
  <si>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</si>
  <si>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</si>
  <si>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</si>
  <si>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</si>
  <si>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</si>
  <si>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</si>
  <si>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</si>
  <si>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</si>
  <si>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</si>
  <si>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</si>
  <si>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</si>
  <si>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</si>
  <si>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</si>
  <si>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</si>
  <si>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</si>
  <si>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</si>
  <si>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</si>
  <si>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</si>
  <si>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</si>
  <si>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</si>
  <si>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</si>
  <si>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</si>
  <si>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</si>
  <si>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</si>
  <si>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</si>
  <si>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</si>
  <si>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</si>
  <si>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</si>
  <si>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</si>
  <si>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</si>
  <si>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</si>
  <si>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</si>
  <si>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</si>
  <si>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</si>
  <si>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</si>
  <si>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</si>
  <si>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</si>
  <si>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</si>
  <si>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</si>
  <si>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</si>
  <si>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</si>
  <si>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</si>
  <si>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</si>
  <si>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</si>
  <si>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</si>
  <si>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</si>
  <si>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</si>
  <si>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</si>
  <si>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</si>
  <si>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</si>
  <si>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</si>
  <si>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</si>
  <si>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</si>
  <si>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</si>
  <si>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</si>
  <si>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</si>
  <si>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</si>
  <si>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</si>
  <si>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</si>
  <si>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</si>
  <si>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</si>
  <si>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</si>
  <si>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</si>
  <si>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</si>
  <si>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</si>
  <si>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</si>
  <si>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</si>
  <si>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</si>
  <si>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</si>
  <si>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</si>
  <si>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</si>
  <si>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</si>
  <si>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</si>
  <si>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</si>
  <si>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</si>
  <si>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</si>
  <si>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</si>
  <si>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</si>
  <si>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</si>
  <si>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</si>
  <si>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</si>
  <si>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</si>
  <si>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</si>
  <si>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</si>
  <si>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</si>
  <si>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</si>
  <si>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</si>
  <si>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</si>
  <si>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</si>
  <si>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</si>
  <si>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</si>
  <si>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</si>
  <si>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</si>
  <si>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</si>
  <si>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</si>
  <si>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</si>
  <si>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</si>
  <si>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</si>
  <si>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</si>
  <si>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</si>
  <si>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</si>
  <si>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</si>
  <si>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</si>
  <si>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</si>
  <si>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</si>
  <si>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</si>
  <si>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</si>
  <si>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</si>
  <si>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</si>
  <si>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</si>
  <si>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</si>
  <si>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</si>
  <si>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</si>
  <si>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</si>
  <si>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</si>
  <si>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</si>
  <si>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</si>
  <si>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</si>
  <si>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</si>
  <si>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</si>
  <si>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</si>
  <si>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</si>
  <si>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</si>
  <si>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</si>
  <si>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</si>
  <si>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</si>
  <si>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</si>
  <si>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</si>
  <si>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</si>
  <si>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</si>
  <si>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</si>
  <si>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</si>
  <si>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</si>
  <si>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</si>
  <si>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</si>
  <si>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</si>
  <si>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</si>
  <si>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</si>
  <si>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</si>
  <si>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</si>
  <si>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</si>
  <si>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</si>
  <si>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</si>
  <si>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</si>
  <si>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</si>
  <si>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</si>
  <si>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</si>
  <si>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</si>
  <si>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</si>
  <si>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</si>
  <si>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</si>
  <si>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</si>
  <si>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</si>
  <si>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</si>
  <si>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</si>
  <si>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</si>
  <si>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</si>
  <si>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</si>
  <si>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</si>
  <si>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</si>
  <si>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</si>
  <si>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</si>
  <si>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</si>
  <si>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</si>
  <si>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</si>
  <si>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</si>
  <si>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</si>
  <si>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</si>
  <si>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</si>
  <si>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</si>
  <si>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</si>
  <si>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</si>
  <si>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</si>
  <si>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</si>
  <si>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</si>
  <si>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</si>
  <si>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</si>
  <si>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</si>
  <si>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</si>
  <si>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</si>
  <si>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</si>
  <si>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</si>
  <si>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</si>
  <si>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</si>
  <si>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</si>
  <si>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Steinhöring</t>
  </si>
  <si>
    <t>Stand: 15.02.2023</t>
  </si>
  <si>
    <t>Die Gemeinde Steinhöring setzt sich folgende Ziele:</t>
  </si>
  <si>
    <t>Abersdorf</t>
  </si>
  <si>
    <t>Berg</t>
  </si>
  <si>
    <t>Elchering</t>
  </si>
  <si>
    <t>Etzenberg</t>
  </si>
  <si>
    <t>Hintsberg</t>
  </si>
  <si>
    <t>Niederaltmannsberg</t>
  </si>
  <si>
    <t>Ranhartsberg</t>
  </si>
  <si>
    <t>Sensau</t>
  </si>
  <si>
    <t>Steinhöring</t>
  </si>
  <si>
    <t>Tulling</t>
  </si>
  <si>
    <t>Zaißing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</si>
</sst>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24405.67</c:v>
                </c:pt>
                <c:pt idx="1">
                  <c:v>22669.99485900217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19163.03</c:v>
                </c:pt>
                <c:pt idx="1">
                  <c:v>25682.977971981709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642.26</c:v>
                </c:pt>
                <c:pt idx="1">
                  <c:v>715.63935755700697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12197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32014</c:v>
                </c:pt>
                <c:pt idx="1">
                  <c:v>49068.612188540887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44211</c:v>
                </c:pt>
                <c:pt idx="1">
                  <c:v>49068.612188540887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4710.8100000000004</c:v>
                </c:pt>
                <c:pt idx="1">
                  <c:v>3901.131875967058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15228.619999999999</c:v>
                </c:pt>
                <c:pt idx="1">
                  <c:v>17082.049911524344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403.28</c:v>
                </c:pt>
                <c:pt idx="1">
                  <c:v>276.06338777518636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1986.4570024570025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4214</c:v>
                </c:pt>
                <c:pt idx="1">
                  <c:v>4214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16184.689999999999</c:v>
                </c:pt>
                <c:pt idx="1">
                  <c:v>19031.70217772359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20398.689999999999</c:v>
                </c:pt>
                <c:pt idx="1">
                  <c:v>23245.70217772359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3806.3404355447183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11776.466925249813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49.069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44.211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11 %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49068.612188540887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49068.612188540887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49068.612188540887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24405.67</v>
      </c>
      <c r="E78" s="177">
        <f>LOOKUP('Basis-Annahmen'!E5,'Nachfrage &amp; Erzeugung'!D36:G36,'Nachfrage &amp; Erzeugung'!D38:G38)</f>
        <v>22669.99485900217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19163.03</v>
      </c>
      <c r="E79" s="177">
        <f>LOOKUP('Basis-Annahmen'!E5,'Nachfrage &amp; Erzeugung'!D36:G36,'Nachfrage &amp; Erzeugung'!D39:G39)</f>
        <v>25682.977971981709</v>
      </c>
      <c r="F79" s="175"/>
      <c r="G79" s="176" t="s">
        <v>55</v>
      </c>
      <c r="H79" s="177">
        <f>'Nachfrage &amp; Erzeugung'!C46</f>
        <v>12197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642.26</v>
      </c>
      <c r="E80" s="177">
        <f>LOOKUP('Basis-Annahmen'!E5,'Nachfrage &amp; Erzeugung'!D36:G36,'Nachfrage &amp; Erzeugung'!D40:G40)</f>
        <v>715.63935755700697</v>
      </c>
      <c r="F80" s="175"/>
      <c r="G80" s="176" t="str">
        <f>'Nachfrage &amp; Erzeugung'!B47</f>
        <v>Nicht erneuerbare Wärmeerzeugung</v>
      </c>
      <c r="H80" s="177">
        <f>MAX(0,H82-H79)</f>
        <v>32014</v>
      </c>
      <c r="I80" s="177">
        <f>MAX(0,I82-I79)</f>
        <v>49068.612188540887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44211</v>
      </c>
      <c r="E82" s="177">
        <f>LOOKUP('Basis-Annahmen'!E5,'Nachfrage &amp; Erzeugung'!D36:G36,'Nachfrage &amp; Erzeugung'!D37:G37)</f>
        <v>49068.612188540887</v>
      </c>
      <c r="F82" s="175"/>
      <c r="G82" s="176" t="s">
        <v>82</v>
      </c>
      <c r="H82" s="177">
        <f>'Nachfrage &amp; Erzeugung'!C37</f>
        <v>44211</v>
      </c>
      <c r="I82" s="177">
        <f>LOOKUP('Basis-Annahmen'!E5,'Nachfrage &amp; Erzeugung'!D36:G36,'Nachfrage &amp; Erzeugung'!D37:G37)</f>
        <v>49068.612188540887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0.1098733841926418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23.246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14 %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9 %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162000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25037.399999999998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160517.304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4214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4214</v>
      </c>
      <c r="G32" s="256"/>
      <c r="H32" s="248">
        <f>SUM(H27:H31)</f>
        <v>347554.70400000003</v>
      </c>
      <c r="I32" s="248"/>
      <c r="J32" s="245">
        <f>IF(H32&gt;0,F32/H32,0)</f>
        <v>1.2124710013995378E-2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4710.8100000000004</v>
      </c>
      <c r="E76" s="186">
        <f>LOOKUP('Basis-Annahmen'!E5,'Nachfrage &amp; Erzeugung'!D9:G9,'Nachfrage &amp; Erzeugung'!D11:G11)</f>
        <v>3901.131875967058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15228.619999999999</v>
      </c>
      <c r="E77" s="186">
        <f>LOOKUP('Basis-Annahmen'!E5,'Nachfrage &amp; Erzeugung'!D9:G9,'Nachfrage &amp; Erzeugung'!D12:G12)</f>
        <v>17082.049911524344</v>
      </c>
      <c r="F77" s="175"/>
      <c r="G77" s="176" t="s">
        <v>103</v>
      </c>
      <c r="H77" s="186">
        <f>'Nachfrage &amp; Erzeugung'!C21</f>
        <v>4214</v>
      </c>
      <c r="I77" s="186">
        <f>F31</f>
        <v>4214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403.28</v>
      </c>
      <c r="E78" s="186">
        <f>LOOKUP('Basis-Annahmen'!E5,'Nachfrage &amp; Erzeugung'!D9:G9,'Nachfrage &amp; Erzeugung'!D13:G13)</f>
        <v>276.06338777518636</v>
      </c>
      <c r="F78" s="175"/>
      <c r="G78" s="176" t="str">
        <f>'Nachfrage &amp; Erzeugung'!B29</f>
        <v>Nicht aus lokalen EE gedeckter Strombedarf</v>
      </c>
      <c r="H78" s="186">
        <f>'Nachfrage &amp; Erzeugung'!C29</f>
        <v>16184.689999999999</v>
      </c>
      <c r="I78" s="186">
        <f>MAX(0,E82-SUM(I79:I82)-I77)</f>
        <v>19031.70217772359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1986.4570024570025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20398.689999999999</v>
      </c>
      <c r="E82" s="186">
        <f>LOOKUP('Basis-Annahmen'!E5,'Nachfrage &amp; Erzeugung'!D9:G9,'Nachfrage &amp; Erzeugung'!D10:G10)</f>
        <v>23245.70217772359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0.13956838295614038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8.5454807399220178E-2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4560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19031.70217772359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3806.3404355447183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0.8347237797247189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49068.612188540887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11776.466925249813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2.5825585362389942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3.02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15582.807360794532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3.4172823159637131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3806.3404355447183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11776.466925249813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3.8917089678510999E-2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7.2758037225042302E-2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4070</v>
      </c>
      <c r="F34" s="69">
        <v>4200</v>
      </c>
      <c r="G34" s="69">
        <v>4320</v>
      </c>
      <c r="H34" s="69">
        <v>4440</v>
      </c>
      <c r="I34" s="70">
        <v>4560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3.1941031941031942E-2</v>
      </c>
      <c r="G36" s="67">
        <f>(G34-F34)/F34</f>
        <v>2.8571428571428571E-2</v>
      </c>
      <c r="H36" s="67">
        <f>(H34-G34)/G34</f>
        <v>2.7777777777777776E-2</v>
      </c>
      <c r="I36" s="68">
        <f>(I34-H34)/H34</f>
        <v>2.7027027027027029E-2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45.223427331887201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0.14520884520884522</v>
      </c>
      <c r="F44" s="73">
        <f>E44*(1+(F13*(F43-E43)))</f>
        <v>0.14520884520884522</v>
      </c>
      <c r="G44" s="73">
        <f t="shared" ref="G44:I44" si="0">F44*(1+(G13*(G43-F43)))</f>
        <v>0.14520884520884522</v>
      </c>
      <c r="H44" s="73">
        <f t="shared" si="0"/>
        <v>0.14520884520884522</v>
      </c>
      <c r="I44" s="190">
        <f t="shared" si="0"/>
        <v>0.14520884520884522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591</v>
      </c>
      <c r="F45" s="36">
        <f>F44*F34</f>
        <v>609.87714987714992</v>
      </c>
      <c r="G45" s="36">
        <f t="shared" ref="G45:I45" si="1">G44*G34</f>
        <v>627.30221130221139</v>
      </c>
      <c r="H45" s="36">
        <f t="shared" si="1"/>
        <v>644.72727272727275</v>
      </c>
      <c r="I45" s="74">
        <f t="shared" si="1"/>
        <v>662.15233415233422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23</v>
      </c>
      <c r="F46" s="36">
        <f>F$45*F$14</f>
        <v>30.493857493857497</v>
      </c>
      <c r="G46" s="36">
        <f>G$45*G$14</f>
        <v>188.19066339066342</v>
      </c>
      <c r="H46" s="36">
        <f>H$45*H$14</f>
        <v>386.83636363636361</v>
      </c>
      <c r="I46" s="74">
        <f>I$45*I$14</f>
        <v>662.15233415233422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43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20398.689999999999</v>
      </c>
      <c r="D10" s="94">
        <f>D11+D12+D13+D14+D15</f>
        <v>19741.052407165877</v>
      </c>
      <c r="E10" s="94">
        <f>E11+E12+E13+E14+D15</f>
        <v>20706.167275558601</v>
      </c>
      <c r="F10" s="94">
        <f>F11+F12+F13+F14+D15</f>
        <v>21838.071348623896</v>
      </c>
      <c r="G10" s="95">
        <f>G11+G12+G13+G14+D15</f>
        <v>23245.70217772359</v>
      </c>
      <c r="H10" s="14"/>
    </row>
    <row r="11" spans="1:8" ht="19.5" customHeight="1" x14ac:dyDescent="0.2">
      <c r="B11" s="88" t="s">
        <v>6</v>
      </c>
      <c r="C11" s="96">
        <v>4710.8100000000004</v>
      </c>
      <c r="D11" s="97">
        <f>C11/'Basis-Annahmen'!E34*((1-'Basis-Annahmen'!F19)^(D9-C9))*'Basis-Annahmen'!F34</f>
        <v>4507.4573072083158</v>
      </c>
      <c r="E11" s="97">
        <f>D11/'Basis-Annahmen'!F34*((1-'Basis-Annahmen'!G19)^5)*'Basis-Annahmen'!G34</f>
        <v>4298.7999074935606</v>
      </c>
      <c r="F11" s="97">
        <f>E11/'Basis-Annahmen'!G34*((1-'Basis-Annahmen'!H19)^5)*'Basis-Annahmen'!H34</f>
        <v>4096.6381650012918</v>
      </c>
      <c r="G11" s="98">
        <f>F11/'Basis-Annahmen'!H34*((1-'Basis-Annahmen'!I19)^5)*'Basis-Annahmen'!I34</f>
        <v>3901.131875967058</v>
      </c>
      <c r="H11" s="14"/>
    </row>
    <row r="12" spans="1:8" ht="19.5" customHeight="1" x14ac:dyDescent="0.2">
      <c r="B12" s="88" t="s">
        <v>104</v>
      </c>
      <c r="C12" s="96">
        <v>15228.619999999999</v>
      </c>
      <c r="D12" s="97">
        <f>((1-'Basis-Annahmen'!F20)^(D9-C9))*((1+'Basis-Annahmen'!F9)^(D9-C9))*C12</f>
        <v>14795.803269591694</v>
      </c>
      <c r="E12" s="97">
        <f>((1-'Basis-Annahmen'!G20)^5)*((1+'Basis-Annahmen'!G9)^5)*D12</f>
        <v>15521.690791844236</v>
      </c>
      <c r="F12" s="97">
        <f>((1-'Basis-Annahmen'!H20)^5)*((1+'Basis-Annahmen'!H9)^5)*E12</f>
        <v>16283.190621543772</v>
      </c>
      <c r="G12" s="98">
        <f>((1-'Basis-Annahmen'!I20)^5)*((1+'Basis-Annahmen'!I9)^5)*F12</f>
        <v>17082.049911524344</v>
      </c>
      <c r="H12" s="14"/>
    </row>
    <row r="13" spans="1:8" ht="19.5" customHeight="1" x14ac:dyDescent="0.2">
      <c r="B13" s="88" t="s">
        <v>7</v>
      </c>
      <c r="C13" s="96">
        <v>403.28</v>
      </c>
      <c r="D13" s="97">
        <f>C13*((1-'Basis-Annahmen'!F20)^(D9-C9))</f>
        <v>346.31025788429594</v>
      </c>
      <c r="E13" s="97">
        <f>D13*((1-'Basis-Annahmen'!G20)^5)</f>
        <v>321.1045860488145</v>
      </c>
      <c r="F13" s="97">
        <f>E13*((1-'Basis-Annahmen'!H20)^5)</f>
        <v>297.73347116974367</v>
      </c>
      <c r="G13" s="98">
        <f>F13*((1-'Basis-Annahmen'!I20)^5)</f>
        <v>276.06338777518636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91.481572481572499</v>
      </c>
      <c r="E14" s="97">
        <f>'Basis-Annahmen'!G46*'Basis-Annahmen'!G51+'Basis-Annahmen'!G47*'Basis-Annahmen'!G52</f>
        <v>564.57199017199025</v>
      </c>
      <c r="F14" s="97">
        <f>'Basis-Annahmen'!H46*'Basis-Annahmen'!H51+'Basis-Annahmen'!H47*'Basis-Annahmen'!H52</f>
        <v>1160.5090909090909</v>
      </c>
      <c r="G14" s="98">
        <f>'Basis-Annahmen'!I46*'Basis-Annahmen'!I51+'Basis-Annahmen'!I47*'Basis-Annahmen'!I52</f>
        <v>1986.4570024570025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-3.2239207166446585E-2</v>
      </c>
      <c r="E16" s="101">
        <f>(E10-$C$10)/$C$10</f>
        <v>1.5073383416219466E-2</v>
      </c>
      <c r="F16" s="101">
        <f t="shared" ref="F16" si="0">(F10-$C$10)/$C$10</f>
        <v>7.056244046180897E-2</v>
      </c>
      <c r="G16" s="102">
        <f>(G10-$C$10)/$C$10</f>
        <v>0.13956838295614038</v>
      </c>
      <c r="H16" s="14"/>
    </row>
    <row r="17" spans="1:10" ht="19.5" customHeight="1" x14ac:dyDescent="0.2">
      <c r="B17" s="89" t="s">
        <v>97</v>
      </c>
      <c r="C17" s="107"/>
      <c r="D17" s="104">
        <f>D14/D10</f>
        <v>4.6340777884954741E-3</v>
      </c>
      <c r="E17" s="104">
        <f>E14/E10</f>
        <v>2.7265885697659104E-2</v>
      </c>
      <c r="F17" s="104">
        <f>F14/F10</f>
        <v>5.3141555972717303E-2</v>
      </c>
      <c r="G17" s="105">
        <f>G14/G10</f>
        <v>8.5454807399220178E-2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4214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4214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0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16184.689999999999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44211</v>
      </c>
      <c r="D37" s="94">
        <f>SUM(D38:D40)</f>
        <v>45394.588574886999</v>
      </c>
      <c r="E37" s="94">
        <f>SUM(E38:E40)</f>
        <v>46551.582075564205</v>
      </c>
      <c r="F37" s="94">
        <f t="shared" ref="F37:G37" si="1">SUM(F38:F40)</f>
        <v>47746.110304822956</v>
      </c>
      <c r="G37" s="95">
        <f t="shared" si="1"/>
        <v>49068.612188540887</v>
      </c>
      <c r="H37" s="14"/>
    </row>
    <row r="38" spans="1:8" ht="19.5" customHeight="1" x14ac:dyDescent="0.2">
      <c r="A38" s="14"/>
      <c r="B38" s="113" t="s">
        <v>6</v>
      </c>
      <c r="C38" s="96">
        <v>24405.67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24114.205010845984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23687.069739696311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23178.532299349241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22669.99485900217</v>
      </c>
      <c r="H38" s="14"/>
    </row>
    <row r="39" spans="1:8" ht="19.5" customHeight="1" x14ac:dyDescent="0.2">
      <c r="A39" s="14"/>
      <c r="B39" s="113" t="s">
        <v>104</v>
      </c>
      <c r="C39" s="96">
        <v>19163.03</v>
      </c>
      <c r="D39" s="97">
        <f>C39*((1-'Basis-Annahmen'!F$24)^(D36-C36))*((1+'Basis-Annahmen'!F$9)^(D36-C36))</f>
        <v>20618.614528898917</v>
      </c>
      <c r="E39" s="97">
        <f>((1-'Basis-Annahmen'!G$24)^5)*((1+'Basis-Annahmen'!G$9)^5)*'Nachfrage &amp; Erzeugung'!D39</f>
        <v>22184.762278790022</v>
      </c>
      <c r="F39" s="97">
        <f>((1-'Basis-Annahmen'!H$24)^5)*((1+'Basis-Annahmen'!H$9)^5)*'Nachfrage &amp; Erzeugung'!E39</f>
        <v>23869.871405598624</v>
      </c>
      <c r="G39" s="98">
        <f>((1-'Basis-Annahmen'!I$24)^5)*((1+'Basis-Annahmen'!I$9)^5)*'Nachfrage &amp; Erzeugung'!F39</f>
        <v>25682.977971981709</v>
      </c>
      <c r="H39" s="14"/>
    </row>
    <row r="40" spans="1:8" ht="19.5" customHeight="1" x14ac:dyDescent="0.2">
      <c r="A40" s="14"/>
      <c r="B40" s="113" t="s">
        <v>7</v>
      </c>
      <c r="C40" s="96">
        <v>642.26</v>
      </c>
      <c r="D40" s="97">
        <f>C40+(C40*'Basis-Annahmen'!F36)*((1-'Basis-Annahmen'!F24)^(D36-C36))</f>
        <v>661.76903514209846</v>
      </c>
      <c r="E40" s="97">
        <f>D40+(D40*'Basis-Annahmen'!G36)*((1-'Basis-Annahmen'!G24)^5)</f>
        <v>679.75005707787159</v>
      </c>
      <c r="F40" s="97">
        <f>E40+(E40*'Basis-Annahmen'!H36)*((1-'Basis-Annahmen'!H24)^5)</f>
        <v>697.70659987509418</v>
      </c>
      <c r="G40" s="98">
        <f>F40+(F40*'Basis-Annahmen'!I36)*((1-'Basis-Annahmen'!I24)^5)</f>
        <v>715.63935755700697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2.677135950073508E-2</v>
      </c>
      <c r="E42" s="104">
        <f>(E37-$C$37)/$C$37</f>
        <v>5.2941170196652537E-2</v>
      </c>
      <c r="F42" s="104">
        <f>(F37-$C$37)/$C$37</f>
        <v>7.9959971609394859E-2</v>
      </c>
      <c r="G42" s="105">
        <f>(G37-$C$37)/$C$37</f>
        <v>0.1098733841926418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12197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32014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6.570902195754165E-2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6.8297548163337315E-2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3.2198560018086943E-2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4.5596916127558083E-2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9.4914923426219197E-2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3.9908434837792175E-2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 t="s">
        <v>200</v>
      </c>
      <c r="C58" s="167">
        <v>1.0833118740264212E-2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 t="s">
        <v>201</v>
      </c>
      <c r="C59" s="167">
        <v>3.3152756601868602E-2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 t="s">
        <v>202</v>
      </c>
      <c r="C60" s="167">
        <v>0.48144736374244113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 t="s">
        <v>203</v>
      </c>
      <c r="C61" s="167">
        <v>0.10150906495364144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 t="s">
        <v>204</v>
      </c>
      <c r="C62" s="167">
        <v>2.6432291431249245E-2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162000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18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25037.399999999998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166916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160517.304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222.94069999999999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